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fo-file01\PROJECTS\LAX\17xxxx\D170384.00 - San Manuel Air Permitting\Casino Permit Mod\EPA consultancy\After Submittal\modeling memo\AQIA_TA-0003-CA\"/>
    </mc:Choice>
  </mc:AlternateContent>
  <bookViews>
    <workbookView xWindow="0" yWindow="0" windowWidth="28800" windowHeight="13200"/>
  </bookViews>
  <sheets>
    <sheet name="Source Parameters" sheetId="2" r:id="rId1"/>
    <sheet name="Model Summary-Final" sheetId="5" r:id="rId2"/>
  </sheets>
  <definedNames>
    <definedName name="_xlnm.Print_Area" localSheetId="1">'Model Summary-Final'!$A$1:$E$22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9" i="2" l="1"/>
  <c r="M29" i="2"/>
  <c r="N26" i="2"/>
  <c r="M26" i="2"/>
  <c r="N18" i="2"/>
  <c r="M18" i="2"/>
  <c r="N15" i="2"/>
  <c r="M15" i="2"/>
  <c r="N12" i="2"/>
  <c r="M12" i="2"/>
  <c r="N9" i="2"/>
  <c r="M9" i="2"/>
  <c r="K20" i="2"/>
  <c r="D4" i="5" l="1"/>
  <c r="C4" i="5"/>
  <c r="C5" i="5" s="1"/>
  <c r="C8" i="5" s="1"/>
  <c r="B4" i="5"/>
  <c r="B22" i="5"/>
  <c r="B20" i="5"/>
  <c r="D20" i="5"/>
  <c r="D22" i="5" s="1"/>
  <c r="C20" i="5"/>
  <c r="C22" i="5" s="1"/>
  <c r="D5" i="5"/>
  <c r="D8" i="5" s="1"/>
  <c r="B5" i="5"/>
  <c r="B8" i="5" s="1"/>
  <c r="K31" i="2" l="1"/>
  <c r="H24" i="2" l="1"/>
  <c r="F29" i="2" l="1"/>
  <c r="E29" i="2"/>
  <c r="D29" i="2"/>
  <c r="C29" i="2"/>
  <c r="F27" i="2"/>
  <c r="F28" i="2" s="1"/>
  <c r="E27" i="2"/>
  <c r="E28" i="2" s="1"/>
  <c r="D27" i="2"/>
  <c r="D28" i="2" s="1"/>
  <c r="C27" i="2"/>
  <c r="C28" i="2" s="1"/>
  <c r="B29" i="2"/>
  <c r="B27" i="2"/>
  <c r="B28" i="2" s="1"/>
  <c r="H29" i="2"/>
  <c r="H27" i="2"/>
  <c r="H28" i="2" s="1"/>
  <c r="J30" i="2" l="1"/>
  <c r="J29" i="2" s="1"/>
  <c r="J26" i="2"/>
  <c r="J27" i="2" s="1"/>
  <c r="J28" i="2" s="1"/>
  <c r="K25" i="2"/>
  <c r="K24" i="2"/>
  <c r="I22" i="2"/>
  <c r="K22" i="2" s="1"/>
  <c r="H22" i="2"/>
  <c r="J22" i="2" s="1"/>
  <c r="J20" i="2"/>
  <c r="I10" i="2"/>
  <c r="H10" i="2"/>
  <c r="H8" i="2"/>
  <c r="J8" i="2" s="1"/>
  <c r="I8" i="2"/>
  <c r="K8" i="2" s="1"/>
  <c r="J7" i="2"/>
  <c r="K26" i="2" l="1"/>
  <c r="K27" i="2" s="1"/>
  <c r="K28" i="2" s="1"/>
  <c r="I27" i="2"/>
  <c r="I28" i="2" s="1"/>
  <c r="J24" i="2"/>
  <c r="K30" i="2"/>
  <c r="K29" i="2" s="1"/>
  <c r="I29" i="2"/>
  <c r="H25" i="2"/>
  <c r="J25" i="2" s="1"/>
  <c r="J31" i="2"/>
  <c r="J9" i="2"/>
  <c r="J21" i="2"/>
  <c r="H11" i="2"/>
  <c r="J10" i="2"/>
  <c r="I11" i="2"/>
  <c r="K10" i="2"/>
  <c r="K7" i="2"/>
  <c r="K9" i="2"/>
  <c r="K21" i="2"/>
  <c r="B34" i="2"/>
  <c r="B35" i="2"/>
  <c r="B36" i="2" s="1"/>
  <c r="C20" i="2"/>
  <c r="E20" i="2" l="1"/>
  <c r="I12" i="2"/>
  <c r="K11" i="2"/>
  <c r="H12" i="2"/>
  <c r="J11" i="2"/>
  <c r="H13" i="2" l="1"/>
  <c r="J12" i="2"/>
  <c r="I13" i="2"/>
  <c r="K12" i="2"/>
  <c r="I14" i="2" l="1"/>
  <c r="K13" i="2"/>
  <c r="H14" i="2"/>
  <c r="J13" i="2"/>
  <c r="J14" i="2" l="1"/>
  <c r="K14" i="2"/>
  <c r="D22" i="2"/>
  <c r="E22" i="2"/>
  <c r="F22" i="2"/>
  <c r="C22" i="2"/>
  <c r="D19" i="2"/>
  <c r="E19" i="2"/>
  <c r="F19" i="2"/>
  <c r="C19" i="2"/>
  <c r="D16" i="2"/>
  <c r="D17" i="2" s="1"/>
  <c r="E16" i="2"/>
  <c r="E17" i="2" s="1"/>
  <c r="F16" i="2"/>
  <c r="F17" i="2" s="1"/>
  <c r="D13" i="2"/>
  <c r="D14" i="2" s="1"/>
  <c r="E13" i="2"/>
  <c r="E14" i="2" s="1"/>
  <c r="F13" i="2"/>
  <c r="F14" i="2" s="1"/>
  <c r="D10" i="2"/>
  <c r="D11" i="2" s="1"/>
  <c r="E10" i="2"/>
  <c r="E11" i="2" s="1"/>
  <c r="F10" i="2"/>
  <c r="F11" i="2" s="1"/>
  <c r="C10" i="2"/>
  <c r="C11" i="2" s="1"/>
  <c r="C12" i="2"/>
  <c r="C13" i="2" s="1"/>
  <c r="C14" i="2" s="1"/>
  <c r="C15" i="2"/>
  <c r="C16" i="2" s="1"/>
  <c r="C17" i="2" s="1"/>
  <c r="E7" i="2"/>
  <c r="E8" i="2" s="1"/>
  <c r="C7" i="2"/>
  <c r="C8" i="2" s="1"/>
  <c r="H16" i="2" l="1"/>
  <c r="J15" i="2"/>
  <c r="I16" i="2"/>
  <c r="K15" i="2"/>
  <c r="H19" i="2"/>
  <c r="J19" i="2" s="1"/>
  <c r="J18" i="2"/>
  <c r="I19" i="2"/>
  <c r="K19" i="2" s="1"/>
  <c r="K18" i="2"/>
  <c r="I17" i="2" l="1"/>
  <c r="K17" i="2" s="1"/>
  <c r="K16" i="2"/>
  <c r="H17" i="2"/>
  <c r="J17" i="2" s="1"/>
  <c r="J16" i="2"/>
</calcChain>
</file>

<file path=xl/comments1.xml><?xml version="1.0" encoding="utf-8"?>
<comments xmlns="http://schemas.openxmlformats.org/spreadsheetml/2006/main">
  <authors>
    <author>Tina Su</author>
  </authors>
  <commentList>
    <comment ref="B3" authorId="0" shapeId="0">
      <text>
        <r>
          <rPr>
            <b/>
            <sz val="9"/>
            <color indexed="81"/>
            <rFont val="Tahoma"/>
            <charset val="1"/>
          </rPr>
          <t>Tina Su:</t>
        </r>
        <r>
          <rPr>
            <sz val="9"/>
            <color indexed="81"/>
            <rFont val="Tahoma"/>
            <charset val="1"/>
          </rPr>
          <t xml:space="preserve">
478927.66,  3778760.00</t>
        </r>
      </text>
    </comment>
    <comment ref="C3" authorId="0" shapeId="0">
      <text>
        <r>
          <rPr>
            <b/>
            <sz val="9"/>
            <color indexed="81"/>
            <rFont val="Tahoma"/>
            <charset val="1"/>
          </rPr>
          <t>Tina Su:</t>
        </r>
        <r>
          <rPr>
            <sz val="9"/>
            <color indexed="81"/>
            <rFont val="Tahoma"/>
            <charset val="1"/>
          </rPr>
          <t xml:space="preserve">
478596.21,  3778698.88</t>
        </r>
      </text>
    </comment>
    <comment ref="D3" authorId="0" shapeId="0">
      <text>
        <r>
          <rPr>
            <b/>
            <sz val="9"/>
            <color indexed="81"/>
            <rFont val="Tahoma"/>
            <charset val="1"/>
          </rPr>
          <t>Tina Su:</t>
        </r>
        <r>
          <rPr>
            <sz val="9"/>
            <color indexed="81"/>
            <rFont val="Tahoma"/>
            <charset val="1"/>
          </rPr>
          <t xml:space="preserve">
478738.08,  3778846.76</t>
        </r>
      </text>
    </comment>
  </commentList>
</comments>
</file>

<file path=xl/sharedStrings.xml><?xml version="1.0" encoding="utf-8"?>
<sst xmlns="http://schemas.openxmlformats.org/spreadsheetml/2006/main" count="116" uniqueCount="90">
  <si>
    <t>Cogen-1</t>
  </si>
  <si>
    <t>Cogen-2</t>
  </si>
  <si>
    <t>Equipment ID</t>
  </si>
  <si>
    <t>Description</t>
  </si>
  <si>
    <t>CHP gas engine at the central utility plant</t>
  </si>
  <si>
    <t>EG-7</t>
  </si>
  <si>
    <t>WH4</t>
  </si>
  <si>
    <t>WH5</t>
  </si>
  <si>
    <t>WH3</t>
  </si>
  <si>
    <t>WH6</t>
  </si>
  <si>
    <t>WH7</t>
  </si>
  <si>
    <t>WH8</t>
  </si>
  <si>
    <t>WH9</t>
  </si>
  <si>
    <t>WH10</t>
  </si>
  <si>
    <t>WH11</t>
  </si>
  <si>
    <t>WH12</t>
  </si>
  <si>
    <t>WH13</t>
  </si>
  <si>
    <t>1.3 MMBtu/hr water heater, stack 6" above the tower roof top</t>
  </si>
  <si>
    <t>0.4 MMBTU/hr water heater, stack 6" above the tower roof top</t>
  </si>
  <si>
    <t>1.3 MMBtu/hr water heater, stack by the side of podium mechanical room</t>
  </si>
  <si>
    <t>2 MMBTU/hr water heater, stack 6" above the existing casino mechanical room's roof top</t>
  </si>
  <si>
    <t>(feet)</t>
  </si>
  <si>
    <t>Stack Inside Diameter</t>
  </si>
  <si>
    <t>Exit Gas Flow Rate</t>
  </si>
  <si>
    <t>Exit Gas Temperature</t>
  </si>
  <si>
    <t>EG8</t>
  </si>
  <si>
    <t>EG9</t>
  </si>
  <si>
    <t>Distance to Facility Boundary</t>
  </si>
  <si>
    <t>Central San Bernardino Valley 2</t>
  </si>
  <si>
    <t>3-year Maximum (ug/m3)</t>
  </si>
  <si>
    <t>3-year Maximum (ppb)</t>
  </si>
  <si>
    <t>AAM</t>
  </si>
  <si>
    <t>1-hr</t>
  </si>
  <si>
    <t>Annual</t>
  </si>
  <si>
    <t>1. AERMOD modeling used the SCAQMD's Redland MET data, the USEPA ozone data for San Bernadino (downloaded from EPA AirData), and the default NO2/Nox ratios of 0.5 instack and 0.9 atmosphere equilibrium, respectively.Detailed AERMOD input and output files are provided in the CD.</t>
  </si>
  <si>
    <t>Exceed Threshold?</t>
  </si>
  <si>
    <t>--</t>
  </si>
  <si>
    <t>CAAQS Threshold</t>
  </si>
  <si>
    <t>NAAQS Threshold</t>
  </si>
  <si>
    <t>Total (Project + Background)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</si>
  <si>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Project - Max</t>
    </r>
  </si>
  <si>
    <t>1-hr highest</t>
  </si>
  <si>
    <t>1-hr 8th Highest</t>
  </si>
  <si>
    <t>Summary of Model Results and Compare to NAAQS and CAAQS (unit in ug/m3)</t>
  </si>
  <si>
    <t>(inches)</t>
  </si>
  <si>
    <t>(Deg F)</t>
  </si>
  <si>
    <t>(Feet)</t>
  </si>
  <si>
    <t>Stack Height</t>
  </si>
  <si>
    <t>New 2 MW Tier 4 emergency generator, stack extend above the central  utility plant</t>
  </si>
  <si>
    <t>Cogen1, Cogen-2, EG-8 and EG-9 information were provided by Vanderweil; water heater information were provided by NV5; EG-7 information were based on manufacturer specification sheets</t>
  </si>
  <si>
    <t>(cfm)</t>
  </si>
  <si>
    <t>EG-1</t>
  </si>
  <si>
    <t>EG-2</t>
  </si>
  <si>
    <t>FP-1</t>
  </si>
  <si>
    <t>Existing Tier 2 backup generator at the central utility plant</t>
  </si>
  <si>
    <t>Existing Tier 1 backup generator at the central utility plant</t>
  </si>
  <si>
    <t>Existing fire pump by the existing casino building</t>
  </si>
  <si>
    <t>New NOx Emission Sources</t>
  </si>
  <si>
    <t>Peak Hour NOx Emission Rate</t>
  </si>
  <si>
    <t>Annual PTE NOx Emission Rate</t>
  </si>
  <si>
    <t>Existing NOx Emission Sources Remain Unchanged</t>
  </si>
  <si>
    <t>New parking garage emergency generator, ground-level north of the garage</t>
  </si>
  <si>
    <t>BO-2</t>
  </si>
  <si>
    <t>BO-3</t>
  </si>
  <si>
    <t>WH-1</t>
  </si>
  <si>
    <t>WH-2</t>
  </si>
  <si>
    <t>BO-1</t>
  </si>
  <si>
    <t>Existing 15 MMBTU/hr boiler the existing casino mechanical room</t>
  </si>
  <si>
    <t>Existing water heater the existing casino mechanical room</t>
  </si>
  <si>
    <t>Hourly-Averaged NOx</t>
  </si>
  <si>
    <t>(tons/year)</t>
  </si>
  <si>
    <t>(lbs/hour)</t>
  </si>
  <si>
    <t>(gram/second)</t>
  </si>
  <si>
    <t>Annual-Averaged NOx</t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</si>
  <si>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Background - Max. of Recent 3 Years</t>
    </r>
  </si>
  <si>
    <t>3. SCAQMD Monitoring Data (Units in PPB, multiple by 1.88 to convert to ug/m3)</t>
  </si>
  <si>
    <t>P1/P2</t>
  </si>
  <si>
    <t>T2/T1</t>
  </si>
  <si>
    <t>V2 = (P1/P2)*(T2/T1)* V1. Adjusted dry exit volume based on exit temp and pressure</t>
  </si>
  <si>
    <t>For EG-7, the exit gas flow rate were adjusted from the normalized condition to actual condition using the following ideal gas law calculations:</t>
  </si>
  <si>
    <t>Identical sources at the same location, used a single point source (WH3_5) in AERMOD to represent these identical units.</t>
  </si>
  <si>
    <t>Identical sources at the same location, used a single point source (WH6_8) in AERMOD to represent these identical units.</t>
  </si>
  <si>
    <t>Identical sources at the same location, used a single point source (WH9_11) in AERMOD to represent these identical units.</t>
  </si>
  <si>
    <t>Identical sources at the same location, used a single point source (WH12_13) in AERMOD to represent these identical units.</t>
  </si>
  <si>
    <t>Identical sources at the same location, used a single point source (WH1_2) in AERMOD to represent these identical units.</t>
  </si>
  <si>
    <t>Identical sources at the same location, used a single point source (BO1_3) in AERMOD to represent these identical units.</t>
  </si>
  <si>
    <t>Notes</t>
  </si>
  <si>
    <t>2. The UTM (X,Y) coordinates in units of meters for the modeled maximum NO2 concentrations are, (478927.66,  3778760.00) for the maximum 1-hour 8th highest concentration of 41.6 ug/m3, (478596.21, 3778698.88) for the maximum 1-hour highest concentration of 51.1 ug/m3, and (478738.08, 3778846.76) for the maximum annual-average value of 2.0 ug/m3.</t>
  </si>
  <si>
    <t>Hourly</t>
  </si>
  <si>
    <t>Clustered Stacks Modeled as Single Point Source (g/sec)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</si>
</sst>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_);_(* \(#,##0\);_(* &quot;-&quot;??_);_(@_)"/>
    <numFmt numFmtId="165" formatCode="0.0"/>
    <numFmt numFmtId="171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8"/>
      <name val="Times New Roman"/>
      <family val="1"/>
    </font>
    <font>
      <sz val="8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thick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/>
    <xf numFmtId="9" fontId="0" fillId="0" borderId="0" xfId="2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17" xfId="0" quotePrefix="1" applyBorder="1" applyAlignment="1">
      <alignment horizontal="center"/>
    </xf>
    <xf numFmtId="0" fontId="0" fillId="0" borderId="17" xfId="0" applyFill="1" applyBorder="1" applyAlignment="1">
      <alignment horizontal="center"/>
    </xf>
    <xf numFmtId="165" fontId="0" fillId="0" borderId="18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Font="1" applyBorder="1" applyAlignment="1">
      <alignment horizontal="center"/>
    </xf>
    <xf numFmtId="165" fontId="0" fillId="0" borderId="0" xfId="0" applyNumberFormat="1"/>
    <xf numFmtId="0" fontId="6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7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" fontId="7" fillId="0" borderId="20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11" fontId="7" fillId="0" borderId="1" xfId="0" applyNumberFormat="1" applyFont="1" applyFill="1" applyBorder="1" applyAlignment="1">
      <alignment horizontal="center"/>
    </xf>
    <xf numFmtId="11" fontId="7" fillId="0" borderId="10" xfId="0" applyNumberFormat="1" applyFont="1" applyFill="1" applyBorder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165" fontId="7" fillId="0" borderId="17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2" fontId="7" fillId="0" borderId="17" xfId="0" applyNumberFormat="1" applyFont="1" applyBorder="1" applyAlignment="1">
      <alignment horizontal="center" vertical="center"/>
    </xf>
    <xf numFmtId="11" fontId="7" fillId="0" borderId="17" xfId="0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15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1" fontId="7" fillId="0" borderId="2" xfId="0" applyNumberFormat="1" applyFont="1" applyFill="1" applyBorder="1" applyAlignment="1">
      <alignment horizontal="center"/>
    </xf>
    <xf numFmtId="1" fontId="7" fillId="0" borderId="1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3" fillId="0" borderId="14" xfId="0" applyFont="1" applyBorder="1" applyAlignment="1">
      <alignment horizontal="center"/>
    </xf>
    <xf numFmtId="0" fontId="12" fillId="0" borderId="0" xfId="0" applyFont="1"/>
    <xf numFmtId="0" fontId="3" fillId="0" borderId="0" xfId="0" applyFont="1" applyBorder="1" applyAlignment="1">
      <alignment horizontal="center"/>
    </xf>
    <xf numFmtId="0" fontId="3" fillId="0" borderId="16" xfId="0" applyFont="1" applyBorder="1"/>
    <xf numFmtId="0" fontId="3" fillId="0" borderId="0" xfId="0" applyFont="1" applyBorder="1"/>
    <xf numFmtId="0" fontId="3" fillId="0" borderId="14" xfId="0" applyFont="1" applyBorder="1"/>
    <xf numFmtId="0" fontId="3" fillId="0" borderId="0" xfId="0" applyFont="1"/>
    <xf numFmtId="0" fontId="3" fillId="0" borderId="0" xfId="0" applyFont="1" applyBorder="1" applyAlignment="1">
      <alignment horizontal="left" indent="1"/>
    </xf>
    <xf numFmtId="0" fontId="10" fillId="0" borderId="16" xfId="0" applyFont="1" applyBorder="1" applyAlignment="1">
      <alignment horizontal="left" indent="1"/>
    </xf>
    <xf numFmtId="0" fontId="10" fillId="0" borderId="14" xfId="0" applyFont="1" applyBorder="1" applyAlignment="1">
      <alignment horizontal="left" indent="1"/>
    </xf>
    <xf numFmtId="0" fontId="3" fillId="0" borderId="11" xfId="0" applyFont="1" applyBorder="1" applyAlignment="1">
      <alignment horizontal="left" indent="1"/>
    </xf>
    <xf numFmtId="0" fontId="3" fillId="0" borderId="11" xfId="0" applyFont="1" applyBorder="1" applyAlignment="1">
      <alignment horizontal="center"/>
    </xf>
    <xf numFmtId="0" fontId="3" fillId="0" borderId="22" xfId="0" applyFont="1" applyBorder="1"/>
    <xf numFmtId="0" fontId="3" fillId="0" borderId="22" xfId="0" applyFont="1" applyBorder="1" applyAlignment="1">
      <alignment horizontal="center"/>
    </xf>
    <xf numFmtId="165" fontId="0" fillId="0" borderId="13" xfId="0" applyNumberFormat="1" applyFont="1" applyFill="1" applyBorder="1" applyAlignment="1">
      <alignment horizontal="center"/>
    </xf>
    <xf numFmtId="0" fontId="2" fillId="0" borderId="25" xfId="0" applyFont="1" applyBorder="1" applyAlignment="1"/>
    <xf numFmtId="0" fontId="0" fillId="0" borderId="26" xfId="0" applyFont="1" applyBorder="1" applyAlignment="1">
      <alignment horizontal="center" wrapText="1"/>
    </xf>
    <xf numFmtId="0" fontId="0" fillId="0" borderId="27" xfId="0" applyFont="1" applyBorder="1" applyAlignment="1">
      <alignment horizontal="center"/>
    </xf>
    <xf numFmtId="0" fontId="0" fillId="0" borderId="28" xfId="0" applyBorder="1" applyAlignment="1">
      <alignment horizontal="center"/>
    </xf>
    <xf numFmtId="165" fontId="0" fillId="0" borderId="29" xfId="0" applyNumberFormat="1" applyFont="1" applyBorder="1" applyAlignment="1">
      <alignment horizontal="center"/>
    </xf>
    <xf numFmtId="0" fontId="0" fillId="0" borderId="30" xfId="0" applyBorder="1" applyAlignment="1">
      <alignment horizontal="center"/>
    </xf>
    <xf numFmtId="165" fontId="0" fillId="0" borderId="31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165" fontId="0" fillId="0" borderId="33" xfId="0" applyNumberFormat="1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Font="1" applyFill="1" applyBorder="1" applyAlignment="1">
      <alignment horizontal="center"/>
    </xf>
    <xf numFmtId="0" fontId="0" fillId="0" borderId="38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vertical="top" wrapText="1"/>
    </xf>
    <xf numFmtId="0" fontId="5" fillId="0" borderId="23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7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left"/>
    </xf>
    <xf numFmtId="0" fontId="5" fillId="0" borderId="19" xfId="0" applyFont="1" applyBorder="1" applyAlignment="1">
      <alignment horizontal="center" wrapText="1"/>
    </xf>
    <xf numFmtId="0" fontId="5" fillId="0" borderId="15" xfId="0" applyFont="1" applyBorder="1" applyAlignment="1">
      <alignment horizontal="center"/>
    </xf>
    <xf numFmtId="11" fontId="7" fillId="0" borderId="12" xfId="0" applyNumberFormat="1" applyFont="1" applyFill="1" applyBorder="1" applyAlignment="1">
      <alignment horizontal="center"/>
    </xf>
    <xf numFmtId="11" fontId="7" fillId="0" borderId="20" xfId="0" applyNumberFormat="1" applyFont="1" applyFill="1" applyBorder="1" applyAlignment="1">
      <alignment horizontal="center"/>
    </xf>
    <xf numFmtId="11" fontId="7" fillId="0" borderId="15" xfId="0" applyNumberFormat="1" applyFont="1" applyFill="1" applyBorder="1" applyAlignment="1">
      <alignment horizontal="center"/>
    </xf>
    <xf numFmtId="11" fontId="7" fillId="0" borderId="39" xfId="0" applyNumberFormat="1" applyFont="1" applyFill="1" applyBorder="1" applyAlignment="1">
      <alignment horizontal="center"/>
    </xf>
    <xf numFmtId="0" fontId="5" fillId="0" borderId="30" xfId="0" applyFont="1" applyBorder="1" applyAlignment="1">
      <alignment horizontal="center" vertical="center" wrapText="1"/>
    </xf>
    <xf numFmtId="11" fontId="7" fillId="0" borderId="30" xfId="0" applyNumberFormat="1" applyFont="1" applyFill="1" applyBorder="1" applyAlignment="1">
      <alignment horizontal="center" vertical="center"/>
    </xf>
    <xf numFmtId="11" fontId="7" fillId="0" borderId="3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11" fontId="7" fillId="0" borderId="30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171" fontId="13" fillId="0" borderId="0" xfId="0" applyNumberFormat="1" applyFont="1"/>
    <xf numFmtId="0" fontId="5" fillId="0" borderId="1" xfId="0" applyFont="1" applyBorder="1" applyAlignment="1">
      <alignment horizontal="center"/>
    </xf>
    <xf numFmtId="0" fontId="7" fillId="0" borderId="1" xfId="0" applyFont="1" applyBorder="1"/>
    <xf numFmtId="11" fontId="7" fillId="0" borderId="30" xfId="0" applyNumberFormat="1" applyFont="1" applyFill="1" applyBorder="1" applyAlignment="1">
      <alignment horizontal="center" vertical="center" wrapText="1"/>
    </xf>
    <xf numFmtId="11" fontId="7" fillId="0" borderId="1" xfId="0" applyNumberFormat="1" applyFont="1" applyBorder="1" applyAlignment="1">
      <alignment horizontal="center" vertical="center"/>
    </xf>
    <xf numFmtId="11" fontId="7" fillId="0" borderId="1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</xdr:row>
      <xdr:rowOff>58448</xdr:rowOff>
    </xdr:from>
    <xdr:ext cx="5092904" cy="3662797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92498"/>
          <a:ext cx="5092904" cy="366279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N39"/>
  <sheetViews>
    <sheetView tabSelected="1" workbookViewId="0">
      <selection activeCell="O7" sqref="O7"/>
    </sheetView>
  </sheetViews>
  <sheetFormatPr defaultRowHeight="15" x14ac:dyDescent="0.25"/>
  <cols>
    <col min="1" max="1" width="8.85546875" style="1" customWidth="1"/>
    <col min="2" max="2" width="62.5703125" customWidth="1"/>
    <col min="3" max="3" width="8.28515625" style="1" customWidth="1"/>
    <col min="4" max="4" width="7.85546875" style="1" customWidth="1"/>
    <col min="5" max="5" width="11" style="1" customWidth="1"/>
    <col min="6" max="6" width="8.28515625" style="1" customWidth="1"/>
    <col min="7" max="9" width="12" customWidth="1"/>
    <col min="10" max="11" width="12.28515625" customWidth="1"/>
    <col min="12" max="12" width="44.5703125" style="112" customWidth="1"/>
    <col min="13" max="14" width="9.140625" style="98"/>
  </cols>
  <sheetData>
    <row r="3" spans="1:14" ht="15.75" thickBot="1" x14ac:dyDescent="0.3">
      <c r="A3" s="2"/>
      <c r="C3" s="2"/>
      <c r="D3" s="2"/>
      <c r="E3" s="2"/>
      <c r="F3" s="2"/>
    </row>
    <row r="4" spans="1:14" ht="42.75" thickTop="1" x14ac:dyDescent="0.25">
      <c r="A4" s="92" t="s">
        <v>2</v>
      </c>
      <c r="B4" s="94" t="s">
        <v>3</v>
      </c>
      <c r="C4" s="15" t="s">
        <v>47</v>
      </c>
      <c r="D4" s="15" t="s">
        <v>22</v>
      </c>
      <c r="E4" s="15" t="s">
        <v>23</v>
      </c>
      <c r="F4" s="15" t="s">
        <v>24</v>
      </c>
      <c r="G4" s="29" t="s">
        <v>27</v>
      </c>
      <c r="H4" s="32" t="s">
        <v>58</v>
      </c>
      <c r="I4" s="32" t="s">
        <v>59</v>
      </c>
      <c r="J4" s="32" t="s">
        <v>69</v>
      </c>
      <c r="K4" s="103" t="s">
        <v>73</v>
      </c>
      <c r="L4" s="109" t="s">
        <v>86</v>
      </c>
      <c r="M4" s="122" t="s">
        <v>89</v>
      </c>
      <c r="N4" s="123"/>
    </row>
    <row r="5" spans="1:14" ht="15.75" thickBot="1" x14ac:dyDescent="0.3">
      <c r="A5" s="93"/>
      <c r="B5" s="95"/>
      <c r="C5" s="28" t="s">
        <v>21</v>
      </c>
      <c r="D5" s="28" t="s">
        <v>44</v>
      </c>
      <c r="E5" s="28" t="s">
        <v>50</v>
      </c>
      <c r="F5" s="28" t="s">
        <v>45</v>
      </c>
      <c r="G5" s="30" t="s">
        <v>46</v>
      </c>
      <c r="H5" s="33" t="s">
        <v>71</v>
      </c>
      <c r="I5" s="33" t="s">
        <v>70</v>
      </c>
      <c r="J5" s="54" t="s">
        <v>72</v>
      </c>
      <c r="K5" s="104" t="s">
        <v>72</v>
      </c>
      <c r="L5" s="113"/>
      <c r="M5" s="117" t="s">
        <v>88</v>
      </c>
      <c r="N5" s="117" t="s">
        <v>33</v>
      </c>
    </row>
    <row r="6" spans="1:14" ht="15.75" thickTop="1" x14ac:dyDescent="0.25">
      <c r="A6" s="90" t="s">
        <v>57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113"/>
      <c r="M6" s="118"/>
      <c r="N6" s="118"/>
    </row>
    <row r="7" spans="1:14" ht="15" customHeight="1" x14ac:dyDescent="0.25">
      <c r="A7" s="38" t="s">
        <v>0</v>
      </c>
      <c r="B7" s="39" t="s">
        <v>4</v>
      </c>
      <c r="C7" s="40">
        <f>58+1.5/12</f>
        <v>58.125</v>
      </c>
      <c r="D7" s="41">
        <v>24</v>
      </c>
      <c r="E7" s="41">
        <f>449184/60</f>
        <v>7486.4</v>
      </c>
      <c r="F7" s="41">
        <v>644</v>
      </c>
      <c r="G7" s="42">
        <v>166.50262467191601</v>
      </c>
      <c r="H7" s="43">
        <v>0.18592000000000003</v>
      </c>
      <c r="I7" s="43">
        <v>0.84006092799999998</v>
      </c>
      <c r="J7" s="44">
        <f>H7*453.592/3600</f>
        <v>2.3425506844444447E-2</v>
      </c>
      <c r="K7" s="105">
        <f>I7*2000*453.592/8760/3600</f>
        <v>2.4165710074415019E-2</v>
      </c>
      <c r="L7" s="114"/>
      <c r="M7" s="118"/>
      <c r="N7" s="118"/>
    </row>
    <row r="8" spans="1:14" x14ac:dyDescent="0.25">
      <c r="A8" s="16" t="s">
        <v>1</v>
      </c>
      <c r="B8" s="17" t="s">
        <v>4</v>
      </c>
      <c r="C8" s="25">
        <f>C7</f>
        <v>58.125</v>
      </c>
      <c r="D8" s="18">
        <v>24</v>
      </c>
      <c r="E8" s="18">
        <f>E7</f>
        <v>7486.4</v>
      </c>
      <c r="F8" s="18">
        <v>644</v>
      </c>
      <c r="G8" s="31">
        <v>166.50262467191601</v>
      </c>
      <c r="H8" s="34">
        <f>H7</f>
        <v>0.18592000000000003</v>
      </c>
      <c r="I8" s="34">
        <f>I7</f>
        <v>0.84006092799999998</v>
      </c>
      <c r="J8" s="36">
        <f t="shared" ref="J8:J22" si="0">H8*453.592/3600</f>
        <v>2.3425506844444447E-2</v>
      </c>
      <c r="K8" s="106">
        <f t="shared" ref="K8:K22" si="1">I8*2000*453.592/8760/3600</f>
        <v>2.4165710074415019E-2</v>
      </c>
      <c r="L8" s="114"/>
      <c r="M8" s="118"/>
      <c r="N8" s="118"/>
    </row>
    <row r="9" spans="1:14" x14ac:dyDescent="0.25">
      <c r="A9" s="16" t="s">
        <v>8</v>
      </c>
      <c r="B9" s="17" t="s">
        <v>17</v>
      </c>
      <c r="C9" s="25">
        <v>197.5</v>
      </c>
      <c r="D9" s="18">
        <v>6</v>
      </c>
      <c r="E9" s="18">
        <v>283</v>
      </c>
      <c r="F9" s="18">
        <v>200</v>
      </c>
      <c r="G9" s="31">
        <v>429.06824146981626</v>
      </c>
      <c r="H9" s="34">
        <v>4.0784313725490198E-2</v>
      </c>
      <c r="I9" s="34">
        <v>7.5920000000000001E-2</v>
      </c>
      <c r="J9" s="36">
        <f t="shared" si="0"/>
        <v>5.1387328976034864E-3</v>
      </c>
      <c r="K9" s="106">
        <f t="shared" si="1"/>
        <v>2.1839614814814813E-3</v>
      </c>
      <c r="L9" s="111" t="s">
        <v>80</v>
      </c>
      <c r="M9" s="120">
        <f>SUM(J9:J11)</f>
        <v>1.5416198692810459E-2</v>
      </c>
      <c r="N9" s="120">
        <f>SUM(K9:K11)</f>
        <v>6.5518844444444439E-3</v>
      </c>
    </row>
    <row r="10" spans="1:14" x14ac:dyDescent="0.25">
      <c r="A10" s="16" t="s">
        <v>6</v>
      </c>
      <c r="B10" s="17" t="s">
        <v>17</v>
      </c>
      <c r="C10" s="25">
        <f>C9</f>
        <v>197.5</v>
      </c>
      <c r="D10" s="18">
        <f t="shared" ref="D10:F10" si="2">D9</f>
        <v>6</v>
      </c>
      <c r="E10" s="18">
        <f t="shared" si="2"/>
        <v>283</v>
      </c>
      <c r="F10" s="18">
        <f t="shared" si="2"/>
        <v>200</v>
      </c>
      <c r="G10" s="31">
        <v>429.06824146981626</v>
      </c>
      <c r="H10" s="34">
        <f>H9</f>
        <v>4.0784313725490198E-2</v>
      </c>
      <c r="I10" s="34">
        <f>I9</f>
        <v>7.5920000000000001E-2</v>
      </c>
      <c r="J10" s="36">
        <f t="shared" si="0"/>
        <v>5.1387328976034864E-3</v>
      </c>
      <c r="K10" s="106">
        <f t="shared" si="1"/>
        <v>2.1839614814814813E-3</v>
      </c>
      <c r="L10" s="111"/>
      <c r="M10" s="120"/>
      <c r="N10" s="120"/>
    </row>
    <row r="11" spans="1:14" x14ac:dyDescent="0.25">
      <c r="A11" s="16" t="s">
        <v>7</v>
      </c>
      <c r="B11" s="17" t="s">
        <v>17</v>
      </c>
      <c r="C11" s="25">
        <f>C10</f>
        <v>197.5</v>
      </c>
      <c r="D11" s="18">
        <f t="shared" ref="D11" si="3">D10</f>
        <v>6</v>
      </c>
      <c r="E11" s="18">
        <f t="shared" ref="E11" si="4">E10</f>
        <v>283</v>
      </c>
      <c r="F11" s="18">
        <f t="shared" ref="F11" si="5">F10</f>
        <v>200</v>
      </c>
      <c r="G11" s="31">
        <v>429.06824146981626</v>
      </c>
      <c r="H11" s="34">
        <f t="shared" ref="H11:I11" si="6">H10</f>
        <v>4.0784313725490198E-2</v>
      </c>
      <c r="I11" s="34">
        <f t="shared" si="6"/>
        <v>7.5920000000000001E-2</v>
      </c>
      <c r="J11" s="36">
        <f t="shared" si="0"/>
        <v>5.1387328976034864E-3</v>
      </c>
      <c r="K11" s="106">
        <f t="shared" si="1"/>
        <v>2.1839614814814813E-3</v>
      </c>
      <c r="L11" s="111"/>
      <c r="M11" s="120"/>
      <c r="N11" s="120"/>
    </row>
    <row r="12" spans="1:14" x14ac:dyDescent="0.25">
      <c r="A12" s="16" t="s">
        <v>9</v>
      </c>
      <c r="B12" s="17" t="s">
        <v>19</v>
      </c>
      <c r="C12" s="18">
        <f>1470-1455</f>
        <v>15</v>
      </c>
      <c r="D12" s="18">
        <v>6</v>
      </c>
      <c r="E12" s="18">
        <v>283</v>
      </c>
      <c r="F12" s="18">
        <v>200</v>
      </c>
      <c r="G12" s="31">
        <v>520.60367454068239</v>
      </c>
      <c r="H12" s="34">
        <f t="shared" ref="H12:H14" si="7">H11</f>
        <v>4.0784313725490198E-2</v>
      </c>
      <c r="I12" s="34">
        <f t="shared" ref="I12:I14" si="8">I11</f>
        <v>7.5920000000000001E-2</v>
      </c>
      <c r="J12" s="36">
        <f t="shared" si="0"/>
        <v>5.1387328976034864E-3</v>
      </c>
      <c r="K12" s="106">
        <f t="shared" si="1"/>
        <v>2.1839614814814813E-3</v>
      </c>
      <c r="L12" s="111" t="s">
        <v>81</v>
      </c>
      <c r="M12" s="120">
        <f>SUM(J12:J14)</f>
        <v>1.5416198692810459E-2</v>
      </c>
      <c r="N12" s="120">
        <f>SUM(K12:K14)</f>
        <v>6.5518844444444439E-3</v>
      </c>
    </row>
    <row r="13" spans="1:14" x14ac:dyDescent="0.25">
      <c r="A13" s="16" t="s">
        <v>10</v>
      </c>
      <c r="B13" s="17" t="s">
        <v>19</v>
      </c>
      <c r="C13" s="18">
        <f>C12</f>
        <v>15</v>
      </c>
      <c r="D13" s="18">
        <f t="shared" ref="D13:F13" si="9">D12</f>
        <v>6</v>
      </c>
      <c r="E13" s="18">
        <f t="shared" si="9"/>
        <v>283</v>
      </c>
      <c r="F13" s="18">
        <f t="shared" si="9"/>
        <v>200</v>
      </c>
      <c r="G13" s="31">
        <v>520.60367454068239</v>
      </c>
      <c r="H13" s="34">
        <f t="shared" si="7"/>
        <v>4.0784313725490198E-2</v>
      </c>
      <c r="I13" s="34">
        <f t="shared" si="8"/>
        <v>7.5920000000000001E-2</v>
      </c>
      <c r="J13" s="36">
        <f t="shared" si="0"/>
        <v>5.1387328976034864E-3</v>
      </c>
      <c r="K13" s="106">
        <f t="shared" si="1"/>
        <v>2.1839614814814813E-3</v>
      </c>
      <c r="L13" s="111"/>
      <c r="M13" s="120"/>
      <c r="N13" s="120"/>
    </row>
    <row r="14" spans="1:14" x14ac:dyDescent="0.25">
      <c r="A14" s="16" t="s">
        <v>11</v>
      </c>
      <c r="B14" s="17" t="s">
        <v>19</v>
      </c>
      <c r="C14" s="18">
        <f>C13</f>
        <v>15</v>
      </c>
      <c r="D14" s="18">
        <f t="shared" ref="D14" si="10">D13</f>
        <v>6</v>
      </c>
      <c r="E14" s="18">
        <f t="shared" ref="E14" si="11">E13</f>
        <v>283</v>
      </c>
      <c r="F14" s="18">
        <f t="shared" ref="F14" si="12">F13</f>
        <v>200</v>
      </c>
      <c r="G14" s="31">
        <v>520.60367454068239</v>
      </c>
      <c r="H14" s="34">
        <f t="shared" si="7"/>
        <v>4.0784313725490198E-2</v>
      </c>
      <c r="I14" s="34">
        <f t="shared" si="8"/>
        <v>7.5920000000000001E-2</v>
      </c>
      <c r="J14" s="36">
        <f t="shared" si="0"/>
        <v>5.1387328976034864E-3</v>
      </c>
      <c r="K14" s="106">
        <f t="shared" si="1"/>
        <v>2.1839614814814813E-3</v>
      </c>
      <c r="L14" s="111"/>
      <c r="M14" s="120"/>
      <c r="N14" s="120"/>
    </row>
    <row r="15" spans="1:14" x14ac:dyDescent="0.25">
      <c r="A15" s="16" t="s">
        <v>12</v>
      </c>
      <c r="B15" s="17" t="s">
        <v>18</v>
      </c>
      <c r="C15" s="18">
        <f>C9</f>
        <v>197.5</v>
      </c>
      <c r="D15" s="18">
        <v>6</v>
      </c>
      <c r="E15" s="18">
        <v>90</v>
      </c>
      <c r="F15" s="18">
        <v>200</v>
      </c>
      <c r="G15" s="31">
        <v>429.06824146981626</v>
      </c>
      <c r="H15" s="34">
        <v>1.2549019607843138E-2</v>
      </c>
      <c r="I15" s="34">
        <v>2.3360000000000002E-2</v>
      </c>
      <c r="J15" s="36">
        <f t="shared" si="0"/>
        <v>1.5811485838779958E-3</v>
      </c>
      <c r="K15" s="106">
        <f t="shared" si="1"/>
        <v>6.7198814814814825E-4</v>
      </c>
      <c r="L15" s="111" t="s">
        <v>82</v>
      </c>
      <c r="M15" s="120">
        <f>SUM(J15:J17)</f>
        <v>4.7434457516339875E-3</v>
      </c>
      <c r="N15" s="120">
        <f>SUM(K15:K17)</f>
        <v>2.0159644444444447E-3</v>
      </c>
    </row>
    <row r="16" spans="1:14" x14ac:dyDescent="0.25">
      <c r="A16" s="16" t="s">
        <v>13</v>
      </c>
      <c r="B16" s="17" t="s">
        <v>18</v>
      </c>
      <c r="C16" s="18">
        <f>C15</f>
        <v>197.5</v>
      </c>
      <c r="D16" s="18">
        <f t="shared" ref="D16:F16" si="13">D15</f>
        <v>6</v>
      </c>
      <c r="E16" s="18">
        <f t="shared" si="13"/>
        <v>90</v>
      </c>
      <c r="F16" s="18">
        <f t="shared" si="13"/>
        <v>200</v>
      </c>
      <c r="G16" s="31">
        <v>429.06824146981626</v>
      </c>
      <c r="H16" s="34">
        <f>H15</f>
        <v>1.2549019607843138E-2</v>
      </c>
      <c r="I16" s="34">
        <f>I15</f>
        <v>2.3360000000000002E-2</v>
      </c>
      <c r="J16" s="36">
        <f t="shared" si="0"/>
        <v>1.5811485838779958E-3</v>
      </c>
      <c r="K16" s="106">
        <f t="shared" si="1"/>
        <v>6.7198814814814825E-4</v>
      </c>
      <c r="L16" s="111"/>
      <c r="M16" s="120"/>
      <c r="N16" s="120"/>
    </row>
    <row r="17" spans="1:14" x14ac:dyDescent="0.25">
      <c r="A17" s="16" t="s">
        <v>14</v>
      </c>
      <c r="B17" s="17" t="s">
        <v>18</v>
      </c>
      <c r="C17" s="18">
        <f>C16</f>
        <v>197.5</v>
      </c>
      <c r="D17" s="18">
        <f t="shared" ref="D17" si="14">D16</f>
        <v>6</v>
      </c>
      <c r="E17" s="18">
        <f t="shared" ref="E17" si="15">E16</f>
        <v>90</v>
      </c>
      <c r="F17" s="18">
        <f t="shared" ref="F17" si="16">F16</f>
        <v>200</v>
      </c>
      <c r="G17" s="31">
        <v>429.06824146981626</v>
      </c>
      <c r="H17" s="34">
        <f>H16</f>
        <v>1.2549019607843138E-2</v>
      </c>
      <c r="I17" s="34">
        <f>I16</f>
        <v>2.3360000000000002E-2</v>
      </c>
      <c r="J17" s="36">
        <f t="shared" si="0"/>
        <v>1.5811485838779958E-3</v>
      </c>
      <c r="K17" s="106">
        <f t="shared" si="1"/>
        <v>6.7198814814814825E-4</v>
      </c>
      <c r="L17" s="111"/>
      <c r="M17" s="120"/>
      <c r="N17" s="120"/>
    </row>
    <row r="18" spans="1:14" ht="15" customHeight="1" x14ac:dyDescent="0.25">
      <c r="A18" s="16" t="s">
        <v>15</v>
      </c>
      <c r="B18" s="17" t="s">
        <v>20</v>
      </c>
      <c r="C18" s="18">
        <v>27</v>
      </c>
      <c r="D18" s="18">
        <v>10</v>
      </c>
      <c r="E18" s="18">
        <v>452</v>
      </c>
      <c r="F18" s="18">
        <v>200</v>
      </c>
      <c r="G18" s="31">
        <v>141.07611548556429</v>
      </c>
      <c r="H18" s="34">
        <v>6.2745098039215685E-2</v>
      </c>
      <c r="I18" s="34">
        <v>0.11679999999999999</v>
      </c>
      <c r="J18" s="36">
        <f t="shared" si="0"/>
        <v>7.9057429193899777E-3</v>
      </c>
      <c r="K18" s="106">
        <f t="shared" si="1"/>
        <v>3.3599407407407405E-3</v>
      </c>
      <c r="L18" s="111" t="s">
        <v>83</v>
      </c>
      <c r="M18" s="120">
        <f>SUM(J18:J19)</f>
        <v>1.5811485838779955E-2</v>
      </c>
      <c r="N18" s="120">
        <f>SUM(K18:K19)</f>
        <v>6.719881481481481E-3</v>
      </c>
    </row>
    <row r="19" spans="1:14" x14ac:dyDescent="0.25">
      <c r="A19" s="16" t="s">
        <v>16</v>
      </c>
      <c r="B19" s="17" t="s">
        <v>20</v>
      </c>
      <c r="C19" s="18">
        <f>C18</f>
        <v>27</v>
      </c>
      <c r="D19" s="18">
        <f t="shared" ref="D19:F19" si="17">D18</f>
        <v>10</v>
      </c>
      <c r="E19" s="18">
        <f t="shared" si="17"/>
        <v>452</v>
      </c>
      <c r="F19" s="18">
        <f t="shared" si="17"/>
        <v>200</v>
      </c>
      <c r="G19" s="31">
        <v>141.07611548556429</v>
      </c>
      <c r="H19" s="34">
        <f>H18</f>
        <v>6.2745098039215685E-2</v>
      </c>
      <c r="I19" s="34">
        <f>I18</f>
        <v>0.11679999999999999</v>
      </c>
      <c r="J19" s="36">
        <f t="shared" si="0"/>
        <v>7.9057429193899777E-3</v>
      </c>
      <c r="K19" s="106">
        <f t="shared" si="1"/>
        <v>3.3599407407407405E-3</v>
      </c>
      <c r="L19" s="111"/>
      <c r="M19" s="120"/>
      <c r="N19" s="120"/>
    </row>
    <row r="20" spans="1:14" x14ac:dyDescent="0.25">
      <c r="A20" s="16" t="s">
        <v>5</v>
      </c>
      <c r="B20" s="19" t="s">
        <v>61</v>
      </c>
      <c r="C20" s="27">
        <f>98.91/12</f>
        <v>8.2424999999999997</v>
      </c>
      <c r="D20" s="27">
        <v>4.875</v>
      </c>
      <c r="E20" s="27">
        <f>B36</f>
        <v>770.51903516892003</v>
      </c>
      <c r="F20" s="20">
        <v>836.8</v>
      </c>
      <c r="G20" s="31">
        <v>251.87007874015745</v>
      </c>
      <c r="H20" s="34">
        <v>8.21917808219178E-3</v>
      </c>
      <c r="I20" s="34">
        <v>0.12709277815431363</v>
      </c>
      <c r="J20" s="36">
        <f t="shared" si="0"/>
        <v>1.0355981735159815E-3</v>
      </c>
      <c r="K20" s="106">
        <f>I20*2000*453.592/8760/3600</f>
        <v>3.6560291367688626E-3</v>
      </c>
      <c r="L20" s="119"/>
      <c r="M20" s="121"/>
      <c r="N20" s="121"/>
    </row>
    <row r="21" spans="1:14" x14ac:dyDescent="0.25">
      <c r="A21" s="16" t="s">
        <v>25</v>
      </c>
      <c r="B21" s="19" t="s">
        <v>48</v>
      </c>
      <c r="C21" s="18">
        <v>25</v>
      </c>
      <c r="D21" s="18">
        <v>36</v>
      </c>
      <c r="E21" s="20">
        <v>16301.3</v>
      </c>
      <c r="F21" s="20">
        <v>920.6</v>
      </c>
      <c r="G21" s="31">
        <v>166.50262467191601</v>
      </c>
      <c r="H21" s="34">
        <v>5.7732469491018068E-2</v>
      </c>
      <c r="I21" s="34">
        <v>0.56686940812763142</v>
      </c>
      <c r="J21" s="36">
        <f t="shared" si="0"/>
        <v>7.2741628614916296E-3</v>
      </c>
      <c r="K21" s="106">
        <f t="shared" si="1"/>
        <v>1.6306914546640575E-2</v>
      </c>
      <c r="L21" s="110"/>
      <c r="M21" s="121"/>
      <c r="N21" s="121"/>
    </row>
    <row r="22" spans="1:14" ht="15.75" thickBot="1" x14ac:dyDescent="0.3">
      <c r="A22" s="45" t="s">
        <v>26</v>
      </c>
      <c r="B22" s="46" t="s">
        <v>48</v>
      </c>
      <c r="C22" s="47">
        <f>C21</f>
        <v>25</v>
      </c>
      <c r="D22" s="47">
        <f t="shared" ref="D22:F22" si="18">D21</f>
        <v>36</v>
      </c>
      <c r="E22" s="48">
        <f t="shared" si="18"/>
        <v>16301.3</v>
      </c>
      <c r="F22" s="48">
        <f t="shared" si="18"/>
        <v>920.6</v>
      </c>
      <c r="G22" s="49">
        <v>166.50262467191601</v>
      </c>
      <c r="H22" s="50">
        <f>H21</f>
        <v>5.7732469491018068E-2</v>
      </c>
      <c r="I22" s="50">
        <f>I21</f>
        <v>0.56686940812763142</v>
      </c>
      <c r="J22" s="51">
        <f t="shared" si="0"/>
        <v>7.2741628614916296E-3</v>
      </c>
      <c r="K22" s="107">
        <f t="shared" si="1"/>
        <v>1.6306914546640575E-2</v>
      </c>
      <c r="L22" s="110"/>
      <c r="M22" s="121"/>
      <c r="N22" s="121"/>
    </row>
    <row r="23" spans="1:14" ht="15.75" thickTop="1" x14ac:dyDescent="0.25">
      <c r="A23" s="90" t="s">
        <v>60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110"/>
      <c r="M23" s="121"/>
      <c r="N23" s="121"/>
    </row>
    <row r="24" spans="1:14" x14ac:dyDescent="0.25">
      <c r="A24" s="16" t="s">
        <v>51</v>
      </c>
      <c r="B24" s="19" t="s">
        <v>54</v>
      </c>
      <c r="C24" s="18">
        <v>25</v>
      </c>
      <c r="D24" s="18">
        <v>18</v>
      </c>
      <c r="E24" s="20">
        <v>11060.6</v>
      </c>
      <c r="F24" s="20">
        <v>763.5</v>
      </c>
      <c r="G24" s="52">
        <v>166.50262467191601</v>
      </c>
      <c r="H24" s="34">
        <f>I24*2000/8760</f>
        <v>0.43903959384763286</v>
      </c>
      <c r="I24" s="34">
        <v>1.9229934210526318</v>
      </c>
      <c r="J24" s="36">
        <f t="shared" ref="J24:J31" si="19">H24*453.592/3600</f>
        <v>5.5318013181259861E-2</v>
      </c>
      <c r="K24" s="106">
        <f t="shared" ref="K24:K30" si="20">I24*2000*453.592/8760/3600</f>
        <v>5.5318013181259847E-2</v>
      </c>
      <c r="L24" s="110"/>
      <c r="M24" s="121"/>
      <c r="N24" s="121"/>
    </row>
    <row r="25" spans="1:14" x14ac:dyDescent="0.25">
      <c r="A25" s="16" t="s">
        <v>52</v>
      </c>
      <c r="B25" s="19" t="s">
        <v>55</v>
      </c>
      <c r="C25" s="18">
        <v>25</v>
      </c>
      <c r="D25" s="18">
        <v>18</v>
      </c>
      <c r="E25" s="20">
        <v>11060.6</v>
      </c>
      <c r="F25" s="20">
        <v>763.5</v>
      </c>
      <c r="G25" s="52">
        <v>166.50262467191601</v>
      </c>
      <c r="H25" s="34">
        <f>I25*2000/8760</f>
        <v>0.71773612112472973</v>
      </c>
      <c r="I25" s="34">
        <v>3.1436842105263163</v>
      </c>
      <c r="J25" s="36">
        <f t="shared" si="19"/>
        <v>9.0433156292557881E-2</v>
      </c>
      <c r="K25" s="106">
        <f t="shared" si="20"/>
        <v>9.0433156292557881E-2</v>
      </c>
      <c r="L25" s="110"/>
      <c r="M25" s="121"/>
      <c r="N25" s="121"/>
    </row>
    <row r="26" spans="1:14" x14ac:dyDescent="0.25">
      <c r="A26" s="16" t="s">
        <v>66</v>
      </c>
      <c r="B26" s="19" t="s">
        <v>67</v>
      </c>
      <c r="C26" s="18">
        <v>26.5</v>
      </c>
      <c r="D26" s="18">
        <v>24</v>
      </c>
      <c r="E26" s="20">
        <v>5340</v>
      </c>
      <c r="F26" s="20">
        <v>300</v>
      </c>
      <c r="G26" s="52">
        <v>141.07611548556429</v>
      </c>
      <c r="H26" s="34">
        <v>0.47058823529411764</v>
      </c>
      <c r="I26" s="34">
        <v>0.29411764705882354</v>
      </c>
      <c r="J26" s="36">
        <f t="shared" si="19"/>
        <v>5.9293071895424834E-2</v>
      </c>
      <c r="K26" s="106">
        <f t="shared" si="20"/>
        <v>8.4607693914704376E-3</v>
      </c>
      <c r="L26" s="111" t="s">
        <v>85</v>
      </c>
      <c r="M26" s="120">
        <f>SUM(J26:J28)</f>
        <v>0.17787921568627452</v>
      </c>
      <c r="N26" s="120">
        <f>SUM(K26:K28)</f>
        <v>2.5382308174411311E-2</v>
      </c>
    </row>
    <row r="27" spans="1:14" x14ac:dyDescent="0.25">
      <c r="A27" s="16" t="s">
        <v>62</v>
      </c>
      <c r="B27" s="19" t="str">
        <f>B26</f>
        <v>Existing 15 MMBTU/hr boiler the existing casino mechanical room</v>
      </c>
      <c r="C27" s="18">
        <f t="shared" ref="C27:K28" si="21">C26</f>
        <v>26.5</v>
      </c>
      <c r="D27" s="18">
        <f t="shared" si="21"/>
        <v>24</v>
      </c>
      <c r="E27" s="20">
        <f t="shared" si="21"/>
        <v>5340</v>
      </c>
      <c r="F27" s="20">
        <f t="shared" si="21"/>
        <v>300</v>
      </c>
      <c r="G27" s="52">
        <v>141.07611548556429</v>
      </c>
      <c r="H27" s="34">
        <f t="shared" si="21"/>
        <v>0.47058823529411764</v>
      </c>
      <c r="I27" s="34">
        <f t="shared" si="21"/>
        <v>0.29411764705882354</v>
      </c>
      <c r="J27" s="36">
        <f t="shared" si="21"/>
        <v>5.9293071895424834E-2</v>
      </c>
      <c r="K27" s="106">
        <f t="shared" si="21"/>
        <v>8.4607693914704376E-3</v>
      </c>
      <c r="L27" s="111"/>
      <c r="M27" s="120"/>
      <c r="N27" s="120"/>
    </row>
    <row r="28" spans="1:14" x14ac:dyDescent="0.25">
      <c r="A28" s="16" t="s">
        <v>63</v>
      </c>
      <c r="B28" s="19" t="str">
        <f>B27</f>
        <v>Existing 15 MMBTU/hr boiler the existing casino mechanical room</v>
      </c>
      <c r="C28" s="18">
        <f t="shared" si="21"/>
        <v>26.5</v>
      </c>
      <c r="D28" s="18">
        <f t="shared" si="21"/>
        <v>24</v>
      </c>
      <c r="E28" s="20">
        <f t="shared" si="21"/>
        <v>5340</v>
      </c>
      <c r="F28" s="20">
        <f t="shared" si="21"/>
        <v>300</v>
      </c>
      <c r="G28" s="52">
        <v>141.07611548556429</v>
      </c>
      <c r="H28" s="34">
        <f t="shared" si="21"/>
        <v>0.47058823529411764</v>
      </c>
      <c r="I28" s="34">
        <f t="shared" si="21"/>
        <v>0.29411764705882354</v>
      </c>
      <c r="J28" s="36">
        <f t="shared" si="21"/>
        <v>5.9293071895424834E-2</v>
      </c>
      <c r="K28" s="106">
        <f t="shared" si="21"/>
        <v>8.4607693914704376E-3</v>
      </c>
      <c r="L28" s="111"/>
      <c r="M28" s="120"/>
      <c r="N28" s="120"/>
    </row>
    <row r="29" spans="1:14" x14ac:dyDescent="0.25">
      <c r="A29" s="16" t="s">
        <v>64</v>
      </c>
      <c r="B29" s="19" t="str">
        <f>B30</f>
        <v>Existing water heater the existing casino mechanical room</v>
      </c>
      <c r="C29" s="18">
        <f t="shared" ref="C29:K29" si="22">C30</f>
        <v>26.5</v>
      </c>
      <c r="D29" s="18">
        <f t="shared" si="22"/>
        <v>6</v>
      </c>
      <c r="E29" s="20">
        <f t="shared" si="22"/>
        <v>283</v>
      </c>
      <c r="F29" s="20">
        <f t="shared" si="22"/>
        <v>200</v>
      </c>
      <c r="G29" s="52">
        <v>141.07611548556429</v>
      </c>
      <c r="H29" s="34">
        <f t="shared" si="22"/>
        <v>0.1372549019607843</v>
      </c>
      <c r="I29" s="34">
        <f t="shared" si="22"/>
        <v>8.5784313725490197E-2</v>
      </c>
      <c r="J29" s="36">
        <f t="shared" si="22"/>
        <v>1.7293812636165574E-2</v>
      </c>
      <c r="K29" s="106">
        <f t="shared" si="22"/>
        <v>2.4677244058455448E-3</v>
      </c>
      <c r="L29" s="111" t="s">
        <v>84</v>
      </c>
      <c r="M29" s="120">
        <f>SUM(J29:J30)</f>
        <v>3.4587625272331148E-2</v>
      </c>
      <c r="N29" s="120">
        <f>SUM(K29:K30)</f>
        <v>4.9354488116910896E-3</v>
      </c>
    </row>
    <row r="30" spans="1:14" x14ac:dyDescent="0.25">
      <c r="A30" s="16" t="s">
        <v>65</v>
      </c>
      <c r="B30" s="19" t="s">
        <v>68</v>
      </c>
      <c r="C30" s="18">
        <v>26.5</v>
      </c>
      <c r="D30" s="18">
        <v>6</v>
      </c>
      <c r="E30" s="20">
        <v>283</v>
      </c>
      <c r="F30" s="20">
        <v>200</v>
      </c>
      <c r="G30" s="52">
        <v>141.07611548556429</v>
      </c>
      <c r="H30" s="34">
        <v>0.1372549019607843</v>
      </c>
      <c r="I30" s="34">
        <v>8.5784313725490197E-2</v>
      </c>
      <c r="J30" s="36">
        <f t="shared" si="19"/>
        <v>1.7293812636165574E-2</v>
      </c>
      <c r="K30" s="106">
        <f t="shared" si="20"/>
        <v>2.4677244058455448E-3</v>
      </c>
      <c r="L30" s="111"/>
      <c r="M30" s="120"/>
      <c r="N30" s="120"/>
    </row>
    <row r="31" spans="1:14" ht="15.75" thickBot="1" x14ac:dyDescent="0.3">
      <c r="A31" s="21" t="s">
        <v>53</v>
      </c>
      <c r="B31" s="22" t="s">
        <v>56</v>
      </c>
      <c r="C31" s="23">
        <v>10</v>
      </c>
      <c r="D31" s="23">
        <v>6</v>
      </c>
      <c r="E31" s="24">
        <v>581</v>
      </c>
      <c r="F31" s="24">
        <v>1033</v>
      </c>
      <c r="G31" s="53">
        <v>77.09973753280839</v>
      </c>
      <c r="H31" s="35">
        <v>1.0814708002883923E-2</v>
      </c>
      <c r="I31" s="35">
        <v>4.736842105263158E-2</v>
      </c>
      <c r="J31" s="37">
        <f t="shared" si="19"/>
        <v>1.3626291756789234E-3</v>
      </c>
      <c r="K31" s="108">
        <f>I31*2000*453.592/8760/3600</f>
        <v>1.3626291756789234E-3</v>
      </c>
      <c r="L31" s="114"/>
      <c r="M31" s="118"/>
      <c r="N31" s="118"/>
    </row>
    <row r="32" spans="1:14" s="101" customFormat="1" ht="12" thickTop="1" x14ac:dyDescent="0.2">
      <c r="A32" s="99">
        <v>1</v>
      </c>
      <c r="B32" s="100" t="s">
        <v>49</v>
      </c>
      <c r="C32" s="99"/>
      <c r="D32" s="99"/>
      <c r="E32" s="99"/>
      <c r="F32" s="99"/>
      <c r="L32" s="115"/>
    </row>
    <row r="33" spans="1:12" s="101" customFormat="1" ht="11.25" x14ac:dyDescent="0.2">
      <c r="A33" s="99">
        <v>2</v>
      </c>
      <c r="B33" s="100" t="s">
        <v>79</v>
      </c>
      <c r="C33" s="99"/>
      <c r="D33" s="99"/>
      <c r="E33" s="99"/>
      <c r="F33" s="99"/>
      <c r="L33" s="115"/>
    </row>
    <row r="34" spans="1:12" s="101" customFormat="1" ht="11.25" x14ac:dyDescent="0.2">
      <c r="A34" s="99"/>
      <c r="B34" s="116">
        <f>29.98/86.5</f>
        <v>0.34658959537572254</v>
      </c>
      <c r="C34" s="99" t="s">
        <v>76</v>
      </c>
      <c r="D34" s="99"/>
      <c r="E34" s="99"/>
      <c r="F34" s="99"/>
      <c r="L34" s="115"/>
    </row>
    <row r="35" spans="1:12" s="101" customFormat="1" ht="11.25" x14ac:dyDescent="0.2">
      <c r="A35" s="99"/>
      <c r="B35" s="116">
        <f>1296.47/491.67</f>
        <v>2.6368702585067219</v>
      </c>
      <c r="C35" s="99" t="s">
        <v>77</v>
      </c>
      <c r="D35" s="99"/>
      <c r="E35" s="99"/>
      <c r="F35" s="99"/>
      <c r="L35" s="115"/>
    </row>
    <row r="36" spans="1:12" s="101" customFormat="1" ht="11.25" x14ac:dyDescent="0.2">
      <c r="A36" s="99"/>
      <c r="B36" s="116">
        <f>B35*B34*843.1</f>
        <v>770.51903516892003</v>
      </c>
      <c r="C36" s="102" t="s">
        <v>78</v>
      </c>
      <c r="D36" s="99"/>
      <c r="E36" s="99"/>
      <c r="F36" s="99"/>
      <c r="L36" s="115"/>
    </row>
    <row r="37" spans="1:12" s="101" customFormat="1" ht="11.25" x14ac:dyDescent="0.2">
      <c r="A37" s="99"/>
      <c r="C37" s="99"/>
      <c r="D37" s="99"/>
      <c r="E37" s="99"/>
      <c r="F37" s="99"/>
      <c r="L37" s="115"/>
    </row>
    <row r="38" spans="1:12" s="101" customFormat="1" ht="11.25" x14ac:dyDescent="0.2">
      <c r="A38" s="99"/>
      <c r="C38" s="99"/>
      <c r="D38" s="99"/>
      <c r="E38" s="99"/>
      <c r="F38" s="99"/>
      <c r="L38" s="115"/>
    </row>
    <row r="39" spans="1:12" x14ac:dyDescent="0.25">
      <c r="F39" s="26"/>
    </row>
  </sheetData>
  <mergeCells count="23">
    <mergeCell ref="M29:M30"/>
    <mergeCell ref="N29:N30"/>
    <mergeCell ref="M4:N4"/>
    <mergeCell ref="L26:L28"/>
    <mergeCell ref="L29:L30"/>
    <mergeCell ref="M9:M11"/>
    <mergeCell ref="N9:N11"/>
    <mergeCell ref="M12:M14"/>
    <mergeCell ref="N12:N14"/>
    <mergeCell ref="M15:M17"/>
    <mergeCell ref="N15:N17"/>
    <mergeCell ref="M18:M19"/>
    <mergeCell ref="N18:N19"/>
    <mergeCell ref="M26:M28"/>
    <mergeCell ref="N26:N28"/>
    <mergeCell ref="A23:K23"/>
    <mergeCell ref="A4:A5"/>
    <mergeCell ref="B4:B5"/>
    <mergeCell ref="A6:K6"/>
    <mergeCell ref="L9:L11"/>
    <mergeCell ref="L12:L14"/>
    <mergeCell ref="L15:L17"/>
    <mergeCell ref="L18:L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R29"/>
  <sheetViews>
    <sheetView view="pageBreakPreview" zoomScaleNormal="130" zoomScaleSheetLayoutView="100" workbookViewId="0">
      <selection activeCell="B17" sqref="B17"/>
    </sheetView>
  </sheetViews>
  <sheetFormatPr defaultColWidth="9.140625" defaultRowHeight="15" x14ac:dyDescent="0.25"/>
  <cols>
    <col min="1" max="1" width="33.28515625" bestFit="1" customWidth="1"/>
    <col min="2" max="2" width="13.5703125" bestFit="1" customWidth="1"/>
    <col min="3" max="3" width="10.140625" bestFit="1" customWidth="1"/>
    <col min="4" max="4" width="8" customWidth="1"/>
    <col min="5" max="5" width="0.140625" customWidth="1"/>
    <col min="6" max="6" width="8.28515625" style="88" bestFit="1" customWidth="1"/>
    <col min="7" max="7" width="12.28515625" style="88" bestFit="1" customWidth="1"/>
    <col min="8" max="8" width="6.28515625" style="88" bestFit="1" customWidth="1"/>
    <col min="9" max="9" width="9.140625" style="88"/>
    <col min="10" max="10" width="8.28515625" style="88" bestFit="1" customWidth="1"/>
    <col min="11" max="11" width="12.28515625" style="88" bestFit="1" customWidth="1"/>
    <col min="12" max="12" width="6.28515625" style="88" bestFit="1" customWidth="1"/>
    <col min="15" max="15" width="26.28515625" bestFit="1" customWidth="1"/>
    <col min="16" max="16" width="15.140625" bestFit="1" customWidth="1"/>
    <col min="17" max="17" width="11.5703125" bestFit="1" customWidth="1"/>
    <col min="18" max="18" width="7" customWidth="1"/>
  </cols>
  <sheetData>
    <row r="1" spans="1:18" ht="15.75" thickBot="1" x14ac:dyDescent="0.3">
      <c r="A1" s="5" t="s">
        <v>43</v>
      </c>
      <c r="F1"/>
      <c r="G1"/>
      <c r="H1"/>
      <c r="I1"/>
      <c r="J1"/>
      <c r="K1"/>
      <c r="L1"/>
    </row>
    <row r="2" spans="1:18" ht="30.75" thickBot="1" x14ac:dyDescent="0.3">
      <c r="A2" s="72"/>
      <c r="B2" s="73" t="s">
        <v>42</v>
      </c>
      <c r="C2" s="73" t="s">
        <v>41</v>
      </c>
      <c r="D2" s="74" t="s">
        <v>33</v>
      </c>
      <c r="F2"/>
      <c r="G2"/>
      <c r="H2"/>
      <c r="I2"/>
      <c r="J2"/>
      <c r="K2"/>
      <c r="L2"/>
    </row>
    <row r="3" spans="1:18" ht="18" thickTop="1" x14ac:dyDescent="0.25">
      <c r="A3" s="75" t="s">
        <v>40</v>
      </c>
      <c r="B3" s="13">
        <v>41.611609999999999</v>
      </c>
      <c r="C3" s="13">
        <v>51.050089999999997</v>
      </c>
      <c r="D3" s="76">
        <v>1.9745600000000001</v>
      </c>
      <c r="E3" s="71"/>
      <c r="F3"/>
      <c r="G3"/>
      <c r="H3"/>
      <c r="I3"/>
      <c r="J3"/>
      <c r="K3"/>
      <c r="L3"/>
    </row>
    <row r="4" spans="1:18" ht="17.25" x14ac:dyDescent="0.25">
      <c r="A4" s="77" t="s">
        <v>74</v>
      </c>
      <c r="B4" s="12">
        <f>B22</f>
        <v>106.22</v>
      </c>
      <c r="C4" s="12">
        <f t="shared" ref="C4:D4" si="0">C22</f>
        <v>134.232</v>
      </c>
      <c r="D4" s="78">
        <f t="shared" si="0"/>
        <v>31.208000000000002</v>
      </c>
      <c r="F4"/>
      <c r="G4"/>
      <c r="H4"/>
      <c r="I4"/>
      <c r="J4"/>
      <c r="K4"/>
      <c r="L4"/>
    </row>
    <row r="5" spans="1:18" ht="15.75" thickBot="1" x14ac:dyDescent="0.3">
      <c r="A5" s="79" t="s">
        <v>39</v>
      </c>
      <c r="B5" s="11">
        <f>B3+B4</f>
        <v>147.83161000000001</v>
      </c>
      <c r="C5" s="11">
        <f>C3+C4</f>
        <v>185.28208999999998</v>
      </c>
      <c r="D5" s="80">
        <f>D3+D4</f>
        <v>33.182560000000002</v>
      </c>
      <c r="F5"/>
      <c r="G5"/>
      <c r="H5"/>
      <c r="I5"/>
      <c r="J5"/>
      <c r="K5"/>
      <c r="L5"/>
    </row>
    <row r="6" spans="1:18" ht="15.75" thickTop="1" x14ac:dyDescent="0.25">
      <c r="A6" s="81" t="s">
        <v>38</v>
      </c>
      <c r="B6" s="10">
        <v>188</v>
      </c>
      <c r="C6" s="9" t="s">
        <v>36</v>
      </c>
      <c r="D6" s="82">
        <v>100</v>
      </c>
      <c r="F6"/>
      <c r="G6" s="14"/>
      <c r="H6"/>
      <c r="I6"/>
      <c r="J6"/>
      <c r="K6"/>
      <c r="L6"/>
    </row>
    <row r="7" spans="1:18" x14ac:dyDescent="0.25">
      <c r="A7" s="83" t="s">
        <v>37</v>
      </c>
      <c r="B7" s="8" t="s">
        <v>36</v>
      </c>
      <c r="C7" s="7">
        <v>339</v>
      </c>
      <c r="D7" s="84">
        <v>53</v>
      </c>
      <c r="F7"/>
      <c r="G7"/>
      <c r="H7"/>
      <c r="I7"/>
      <c r="J7"/>
      <c r="K7"/>
      <c r="L7"/>
    </row>
    <row r="8" spans="1:18" ht="15.75" thickBot="1" x14ac:dyDescent="0.3">
      <c r="A8" s="85" t="s">
        <v>35</v>
      </c>
      <c r="B8" s="86" t="str">
        <f>IF(B5&gt;B6,"Yes","No")</f>
        <v>No</v>
      </c>
      <c r="C8" s="86" t="str">
        <f>IF(C5&gt;C7,"Yes","No")</f>
        <v>No</v>
      </c>
      <c r="D8" s="87" t="str">
        <f>IF(D5&gt;D7,"Yes","No")</f>
        <v>No</v>
      </c>
      <c r="F8"/>
      <c r="G8"/>
      <c r="H8"/>
      <c r="I8"/>
      <c r="J8"/>
      <c r="K8"/>
      <c r="L8"/>
    </row>
    <row r="9" spans="1:18" ht="50.25" customHeight="1" x14ac:dyDescent="0.25">
      <c r="A9" s="96" t="s">
        <v>34</v>
      </c>
      <c r="B9" s="96"/>
      <c r="C9" s="96"/>
      <c r="D9" s="96"/>
      <c r="E9" s="89"/>
      <c r="F9"/>
      <c r="G9"/>
      <c r="H9"/>
      <c r="I9"/>
      <c r="J9"/>
      <c r="K9"/>
      <c r="L9"/>
    </row>
    <row r="10" spans="1:18" ht="60" customHeight="1" x14ac:dyDescent="0.25">
      <c r="A10" s="97" t="s">
        <v>87</v>
      </c>
      <c r="B10" s="97"/>
      <c r="C10" s="97"/>
      <c r="D10" s="97"/>
      <c r="E10" s="89"/>
      <c r="F10"/>
      <c r="G10"/>
      <c r="H10"/>
      <c r="I10"/>
      <c r="J10"/>
      <c r="K10"/>
      <c r="L10"/>
    </row>
    <row r="11" spans="1:18" s="5" customFormat="1" ht="15.75" thickBot="1" x14ac:dyDescent="0.3">
      <c r="A11" s="63" t="s">
        <v>75</v>
      </c>
      <c r="B11" s="55"/>
      <c r="C11" s="55"/>
      <c r="D11" s="55"/>
      <c r="E11" s="56"/>
      <c r="F11" s="6"/>
      <c r="G11" s="6"/>
      <c r="H11" s="6"/>
      <c r="I11" s="6"/>
      <c r="J11" s="6"/>
      <c r="K11" s="6"/>
      <c r="L11" s="6"/>
    </row>
    <row r="12" spans="1:18" ht="15.75" thickTop="1" x14ac:dyDescent="0.25">
      <c r="A12" s="69"/>
      <c r="B12" s="70" t="s">
        <v>42</v>
      </c>
      <c r="C12" s="70" t="s">
        <v>41</v>
      </c>
      <c r="D12" s="70" t="s">
        <v>33</v>
      </c>
      <c r="E12" s="58"/>
    </row>
    <row r="13" spans="1:18" x14ac:dyDescent="0.25">
      <c r="A13" s="61">
        <v>2017</v>
      </c>
      <c r="B13" s="59" t="s">
        <v>32</v>
      </c>
      <c r="C13" s="59" t="s">
        <v>32</v>
      </c>
      <c r="D13" s="59" t="s">
        <v>31</v>
      </c>
      <c r="E13" s="58"/>
    </row>
    <row r="14" spans="1:18" x14ac:dyDescent="0.25">
      <c r="A14" s="64" t="s">
        <v>28</v>
      </c>
      <c r="B14" s="59">
        <v>56.5</v>
      </c>
      <c r="C14" s="59">
        <v>65.8</v>
      </c>
      <c r="D14" s="59">
        <v>15.9</v>
      </c>
      <c r="E14" s="58"/>
      <c r="Q14" s="4"/>
      <c r="R14" s="4"/>
    </row>
    <row r="15" spans="1:18" x14ac:dyDescent="0.25">
      <c r="A15" s="62">
        <v>2016</v>
      </c>
      <c r="B15" s="57" t="s">
        <v>32</v>
      </c>
      <c r="C15" s="57" t="s">
        <v>32</v>
      </c>
      <c r="D15" s="57" t="s">
        <v>31</v>
      </c>
      <c r="E15" s="58"/>
    </row>
    <row r="16" spans="1:18" x14ac:dyDescent="0.25">
      <c r="A16" s="67" t="s">
        <v>28</v>
      </c>
      <c r="B16" s="68">
        <v>51.4</v>
      </c>
      <c r="C16" s="68">
        <v>60.1</v>
      </c>
      <c r="D16" s="68">
        <v>16.600000000000001</v>
      </c>
      <c r="E16" s="58"/>
      <c r="Q16" s="4"/>
      <c r="R16" s="4"/>
    </row>
    <row r="17" spans="1:12" x14ac:dyDescent="0.25">
      <c r="A17" s="61">
        <v>2015</v>
      </c>
      <c r="B17" s="59" t="s">
        <v>32</v>
      </c>
      <c r="C17" s="59" t="s">
        <v>32</v>
      </c>
      <c r="D17" s="59" t="s">
        <v>31</v>
      </c>
      <c r="E17" s="58"/>
    </row>
    <row r="18" spans="1:12" ht="15.75" thickBot="1" x14ac:dyDescent="0.3">
      <c r="A18" s="64" t="s">
        <v>28</v>
      </c>
      <c r="B18" s="59">
        <v>52.7</v>
      </c>
      <c r="C18" s="59">
        <v>71.400000000000006</v>
      </c>
      <c r="D18" s="59">
        <v>15.2</v>
      </c>
      <c r="E18" s="58"/>
      <c r="K18"/>
      <c r="L18"/>
    </row>
    <row r="19" spans="1:12" x14ac:dyDescent="0.25">
      <c r="A19" s="65" t="s">
        <v>30</v>
      </c>
      <c r="B19" s="60"/>
      <c r="C19" s="60"/>
      <c r="D19" s="60"/>
      <c r="E19" s="58"/>
    </row>
    <row r="20" spans="1:12" x14ac:dyDescent="0.25">
      <c r="A20" s="64" t="s">
        <v>28</v>
      </c>
      <c r="B20" s="59">
        <f>MAX(B16,B18,B14)</f>
        <v>56.5</v>
      </c>
      <c r="C20" s="59">
        <f>MAX(C16,C18,C14)</f>
        <v>71.400000000000006</v>
      </c>
      <c r="D20" s="59">
        <f>MAX(D16,D18,D14)</f>
        <v>16.600000000000001</v>
      </c>
      <c r="E20" s="58"/>
    </row>
    <row r="21" spans="1:12" x14ac:dyDescent="0.25">
      <c r="A21" s="66" t="s">
        <v>29</v>
      </c>
      <c r="B21" s="62"/>
      <c r="C21" s="62"/>
      <c r="D21" s="62"/>
      <c r="E21" s="58"/>
    </row>
    <row r="22" spans="1:12" x14ac:dyDescent="0.25">
      <c r="A22" s="67" t="s">
        <v>28</v>
      </c>
      <c r="B22" s="68">
        <f>B20*1.88</f>
        <v>106.22</v>
      </c>
      <c r="C22" s="68">
        <f t="shared" ref="C22:D22" si="1">C20*1.88</f>
        <v>134.232</v>
      </c>
      <c r="D22" s="68">
        <f t="shared" si="1"/>
        <v>31.208000000000002</v>
      </c>
      <c r="E22" s="58"/>
    </row>
    <row r="29" spans="1:12" x14ac:dyDescent="0.25">
      <c r="D29" s="3"/>
    </row>
  </sheetData>
  <mergeCells count="2">
    <mergeCell ref="A9:D9"/>
    <mergeCell ref="A10:D10"/>
  </mergeCells>
  <pageMargins left="0.7" right="0.7" top="0.75" bottom="0.75" header="0.3" footer="0.3"/>
  <pageSetup orientation="portrait" r:id="rId1"/>
  <headerFooter>
    <oddHeader>&amp;LSan Manuel TEIR - NO2 Modeling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E8DF473908864F90399CC16DBBF33F" ma:contentTypeVersion="22" ma:contentTypeDescription="Create a new document." ma:contentTypeScope="" ma:versionID="45fef2302be32a3297009d4b348189d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cab9375f-93af-4325-a387-9652dec7869a" xmlns:ns6="6d207968-ce04-474d-bef2-8184320e58cb" targetNamespace="http://schemas.microsoft.com/office/2006/metadata/properties" ma:root="true" ma:fieldsID="76ebf0411468c758c8bb74348c4ed643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cab9375f-93af-4325-a387-9652dec7869a"/>
    <xsd:import namespace="6d207968-ce04-474d-bef2-8184320e58cb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TEST_x0020_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AutoTags" minOccurs="0"/>
                <xsd:element ref="ns5:MediaServiceOCR" minOccurs="0"/>
                <xsd:element ref="ns5:MediaServiceDateTaken" minOccurs="0"/>
                <xsd:element ref="ns5:MediaServiceEventHashCode" minOccurs="0"/>
                <xsd:element ref="ns5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0a1667f9-c3cd-487d-9a1d-3566df9cf20f}" ma:internalName="TaxCatchAllLabel" ma:readOnly="true" ma:showField="CatchAllDataLabel" ma:web="abe62c63-1239-4c7c-9682-6f0177a9d4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0a1667f9-c3cd-487d-9a1d-3566df9cf20f}" ma:internalName="TaxCatchAll" ma:showField="CatchAllData" ma:web="abe62c63-1239-4c7c-9682-6f0177a9d4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b9375f-93af-4325-a387-9652dec7869a" elementFormDefault="qualified">
    <xsd:import namespace="http://schemas.microsoft.com/office/2006/documentManagement/types"/>
    <xsd:import namespace="http://schemas.microsoft.com/office/infopath/2007/PartnerControls"/>
    <xsd:element name="TEST_x0020_" ma:index="30" nillable="true" ma:displayName="TEST " ma:internalName="TEST_x0020_">
      <xsd:simpleType>
        <xsd:restriction base="dms:Text">
          <xsd:maxLength value="255"/>
        </xsd:restriction>
      </xsd:simpleType>
    </xsd:element>
    <xsd:element name="MediaServiceMetadata" ma:index="3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37" nillable="true" ma:displayName="MediaServiceAutoTags" ma:internalName="MediaServiceAutoTags" ma:readOnly="true">
      <xsd:simpleType>
        <xsd:restriction base="dms:Text"/>
      </xsd:simpleType>
    </xsd:element>
    <xsd:element name="MediaServiceOCR" ma:index="3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4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42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07968-ce04-474d-bef2-8184320e58cb" elementFormDefault="qualified">
    <xsd:import namespace="http://schemas.microsoft.com/office/2006/documentManagement/types"/>
    <xsd:import namespace="http://schemas.microsoft.com/office/infopath/2007/PartnerControls"/>
    <xsd:element name="SharedWithUsers" ma:index="3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4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2019-03-12T21:07:55+00:00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TEST_x0020_ xmlns="cab9375f-93af-4325-a387-9652dec7869a" xsi:nil="true"/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Props1.xml><?xml version="1.0" encoding="utf-8"?>
<ds:datastoreItem xmlns:ds="http://schemas.openxmlformats.org/officeDocument/2006/customXml" ds:itemID="{8ABE3CD4-D6BC-417A-AF93-C7F3E7FFF323}"/>
</file>

<file path=customXml/itemProps2.xml><?xml version="1.0" encoding="utf-8"?>
<ds:datastoreItem xmlns:ds="http://schemas.openxmlformats.org/officeDocument/2006/customXml" ds:itemID="{CF25B342-508D-4FC6-9058-4677F1B49333}"/>
</file>

<file path=customXml/itemProps3.xml><?xml version="1.0" encoding="utf-8"?>
<ds:datastoreItem xmlns:ds="http://schemas.openxmlformats.org/officeDocument/2006/customXml" ds:itemID="{29FBE8D4-B586-4771-827A-55850E29E7B8}"/>
</file>

<file path=customXml/itemProps4.xml><?xml version="1.0" encoding="utf-8"?>
<ds:datastoreItem xmlns:ds="http://schemas.openxmlformats.org/officeDocument/2006/customXml" ds:itemID="{55AAA099-806F-4A6E-A746-C700A60200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Source Parameters</vt:lpstr>
      <vt:lpstr>Model Summary-Final</vt:lpstr>
      <vt:lpstr>'Model Summary-Final'!Print_Area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Su</dc:creator>
  <cp:lastModifiedBy>Tina Su</cp:lastModifiedBy>
  <dcterms:created xsi:type="dcterms:W3CDTF">2019-02-11T23:29:13Z</dcterms:created>
  <dcterms:modified xsi:type="dcterms:W3CDTF">2019-03-01T21:47:28Z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0x0101008CE8DF473908864F90399CC16DBBF33F</vt:lpwstr>
  </property>
  <property fmtid="{D5CDD505-2E9C-101B-9397-08002B2CF9AE}" pid="3" name="TaxKeyword">
    <vt:lpwstr/>
  </property>
</Properties>
</file>